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Calcul Centrage" sheetId="1" r:id="rId1"/>
    <sheet name="Limitations W&amp;B" sheetId="2" r:id="rId2"/>
  </sheets>
  <definedNames>
    <definedName name="_xlnm.Print_Area" localSheetId="0">'Calcul Centrage'!$A$1:$P$42</definedName>
  </definedNames>
  <calcPr fullCalcOnLoad="1"/>
</workbook>
</file>

<file path=xl/sharedStrings.xml><?xml version="1.0" encoding="utf-8"?>
<sst xmlns="http://schemas.openxmlformats.org/spreadsheetml/2006/main" count="72" uniqueCount="58">
  <si>
    <t>Limitation de massse et centrage</t>
  </si>
  <si>
    <t>Centrage avant</t>
  </si>
  <si>
    <t>Masse maximum (Kg)</t>
  </si>
  <si>
    <t>Distance (m)</t>
  </si>
  <si>
    <t>Centrage arrière</t>
  </si>
  <si>
    <t>Masse intermédiaire n°1 (kg)</t>
  </si>
  <si>
    <t>Masse intermédiaire n°2 (kg)</t>
  </si>
  <si>
    <t>Masse minimum retenue pour la création du graphique (kg)</t>
  </si>
  <si>
    <t>A</t>
  </si>
  <si>
    <t>B</t>
  </si>
  <si>
    <t>C</t>
  </si>
  <si>
    <t>D</t>
  </si>
  <si>
    <t>E</t>
  </si>
  <si>
    <t>F</t>
  </si>
  <si>
    <t>G</t>
  </si>
  <si>
    <t>H</t>
  </si>
  <si>
    <t>X</t>
  </si>
  <si>
    <t>Y</t>
  </si>
  <si>
    <t>I</t>
  </si>
  <si>
    <t>Masse à vide équipée</t>
  </si>
  <si>
    <t>(kg)</t>
  </si>
  <si>
    <t>(m)</t>
  </si>
  <si>
    <t>bras de levier</t>
  </si>
  <si>
    <t>Pilote et passager avant</t>
  </si>
  <si>
    <t>passager(s) arrière</t>
  </si>
  <si>
    <t>Carburant</t>
  </si>
  <si>
    <t>(L)</t>
  </si>
  <si>
    <t>Moment</t>
  </si>
  <si>
    <t xml:space="preserve"> (Kg.m)</t>
  </si>
  <si>
    <t>MASSE TOTALE</t>
  </si>
  <si>
    <t>Masse hors carburant</t>
  </si>
  <si>
    <t>MVE</t>
  </si>
  <si>
    <t>Masse hors Carburant</t>
  </si>
  <si>
    <t>Masse TOTALE</t>
  </si>
  <si>
    <t>b</t>
  </si>
  <si>
    <t>a</t>
  </si>
  <si>
    <t>x</t>
  </si>
  <si>
    <t>y</t>
  </si>
  <si>
    <t>Masse limite centrage avant</t>
  </si>
  <si>
    <t>Carburant consommé</t>
  </si>
  <si>
    <t>kg</t>
  </si>
  <si>
    <t>L</t>
  </si>
  <si>
    <t>Temps de vol à 23L/h</t>
  </si>
  <si>
    <t xml:space="preserve">                        </t>
  </si>
  <si>
    <t xml:space="preserve">  </t>
  </si>
  <si>
    <t>Limite atteinte aptrès avoir consommé</t>
  </si>
  <si>
    <t>dans la configuration de vol</t>
  </si>
  <si>
    <t>Soit un temps de vol (H:mm) à la consomation de 23L/h</t>
  </si>
  <si>
    <t xml:space="preserve">Masse </t>
  </si>
  <si>
    <t>Kg</t>
  </si>
  <si>
    <t>DEVIS MASSE ET CENTRAGE AVION DA 20c1             F-HBMM</t>
  </si>
  <si>
    <t>H:mm</t>
  </si>
  <si>
    <r>
      <t>carburant</t>
    </r>
  </si>
  <si>
    <t>(plein complet : 91 L)</t>
  </si>
  <si>
    <t>0.72 kg/L</t>
  </si>
  <si>
    <t>Bagages</t>
  </si>
  <si>
    <r>
      <rPr>
        <b/>
        <u val="single"/>
        <sz val="12"/>
        <color indexed="8"/>
        <rFont val="Calibri"/>
        <family val="2"/>
      </rPr>
      <t>PLEIN PRECONISE RETOUR DE VOL A LFNR :</t>
    </r>
    <r>
      <rPr>
        <b/>
        <sz val="12"/>
        <color indexed="10"/>
        <rFont val="Calibri"/>
        <family val="2"/>
      </rPr>
      <t xml:space="preserve"> 91L (PC)</t>
    </r>
  </si>
  <si>
    <t>Pesée du 05/11/2015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</si>
</sst>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00"/>
    <numFmt numFmtId="174" formatCode="0.000000"/>
    <numFmt numFmtId="175" formatCode="0.00000"/>
    <numFmt numFmtId="176" formatCode="0.0000"/>
    <numFmt numFmtId="177" formatCode="0.0"/>
    <numFmt numFmtId="178" formatCode="mm:ss.0;@"/>
    <numFmt numFmtId="179" formatCode="[h]:mm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i/>
      <sz val="11"/>
      <color indexed="30"/>
      <name val="Calibri"/>
      <family val="2"/>
    </font>
    <font>
      <b/>
      <i/>
      <sz val="18"/>
      <color indexed="8"/>
      <name val="Calibri"/>
      <family val="2"/>
    </font>
    <font>
      <b/>
      <sz val="10"/>
      <color indexed="9"/>
      <name val="Calibri"/>
      <family val="0"/>
    </font>
    <font>
      <sz val="9.2"/>
      <color indexed="9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1"/>
      <color rgb="FFFF9900"/>
      <name val="Calibri"/>
      <family val="2"/>
    </font>
    <font>
      <b/>
      <sz val="12"/>
      <color theme="0"/>
      <name val="Calibri"/>
      <family val="2"/>
    </font>
    <font>
      <i/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theme="0"/>
        </stop>
        <stop position="0.5">
          <color rgb="FF0070C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70C0"/>
        </stop>
        <stop position="1">
          <color theme="0"/>
        </stop>
      </gradient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tted"/>
      <right style="dotted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dotted"/>
      <right style="dotted"/>
      <top style="thick">
        <color rgb="FFFF0000"/>
      </top>
      <bottom style="thin"/>
    </border>
    <border>
      <left style="dashed"/>
      <right style="dashed"/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54" fillId="0" borderId="0" xfId="0" applyFont="1" applyAlignment="1">
      <alignment/>
    </xf>
    <xf numFmtId="177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53" fillId="33" borderId="13" xfId="0" applyFont="1" applyFill="1" applyBorder="1" applyAlignment="1">
      <alignment/>
    </xf>
    <xf numFmtId="0" fontId="53" fillId="34" borderId="13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left"/>
    </xf>
    <xf numFmtId="179" fontId="0" fillId="0" borderId="11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177" fontId="56" fillId="0" borderId="0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54" fillId="0" borderId="22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58" fillId="0" borderId="22" xfId="0" applyFont="1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/>
    </xf>
    <xf numFmtId="0" fontId="59" fillId="0" borderId="27" xfId="0" applyFont="1" applyBorder="1" applyAlignment="1">
      <alignment/>
    </xf>
    <xf numFmtId="172" fontId="60" fillId="0" borderId="11" xfId="0" applyNumberFormat="1" applyFont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172" fontId="59" fillId="0" borderId="11" xfId="0" applyNumberFormat="1" applyFont="1" applyBorder="1" applyAlignment="1">
      <alignment horizontal="center"/>
    </xf>
    <xf numFmtId="172" fontId="61" fillId="0" borderId="0" xfId="0" applyNumberFormat="1" applyFont="1" applyFill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2" fillId="0" borderId="27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56" fillId="0" borderId="0" xfId="0" applyFont="1" applyAlignment="1">
      <alignment horizontal="right"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63" fillId="6" borderId="30" xfId="0" applyFont="1" applyFill="1" applyBorder="1" applyAlignment="1">
      <alignment horizontal="center"/>
    </xf>
    <xf numFmtId="0" fontId="0" fillId="35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52" fillId="0" borderId="27" xfId="0" applyFont="1" applyBorder="1" applyAlignment="1">
      <alignment/>
    </xf>
    <xf numFmtId="0" fontId="52" fillId="0" borderId="11" xfId="0" applyFont="1" applyFill="1" applyBorder="1" applyAlignment="1" applyProtection="1">
      <alignment horizontal="center"/>
      <protection/>
    </xf>
    <xf numFmtId="0" fontId="52" fillId="0" borderId="11" xfId="0" applyFont="1" applyBorder="1" applyAlignment="1">
      <alignment horizontal="center"/>
    </xf>
    <xf numFmtId="172" fontId="52" fillId="0" borderId="11" xfId="0" applyNumberFormat="1" applyFont="1" applyBorder="1" applyAlignment="1">
      <alignment horizontal="center"/>
    </xf>
    <xf numFmtId="1" fontId="64" fillId="0" borderId="11" xfId="0" applyNumberFormat="1" applyFont="1" applyBorder="1" applyAlignment="1">
      <alignment horizontal="center"/>
    </xf>
    <xf numFmtId="172" fontId="64" fillId="0" borderId="11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5" borderId="11" xfId="0" applyFill="1" applyBorder="1" applyAlignment="1" applyProtection="1">
      <alignment horizontal="center"/>
      <protection/>
    </xf>
    <xf numFmtId="172" fontId="0" fillId="35" borderId="11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0" fontId="65" fillId="36" borderId="13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32" xfId="0" applyFont="1" applyBorder="1" applyAlignment="1">
      <alignment horizontal="center"/>
    </xf>
    <xf numFmtId="0" fontId="67" fillId="0" borderId="33" xfId="0" applyFont="1" applyBorder="1" applyAlignment="1">
      <alignment horizontal="center"/>
    </xf>
    <xf numFmtId="0" fontId="67" fillId="0" borderId="3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-0.00125"/>
          <c:w val="0.91825"/>
          <c:h val="0.9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'Limitations W&amp;B'!$K$6:$K$14</c:f>
              <c:numCache>
                <c:ptCount val="9"/>
                <c:pt idx="0">
                  <c:v>0.202</c:v>
                </c:pt>
                <c:pt idx="1">
                  <c:v>0.202</c:v>
                </c:pt>
                <c:pt idx="2">
                  <c:v>0.202</c:v>
                </c:pt>
                <c:pt idx="3">
                  <c:v>0.205</c:v>
                </c:pt>
                <c:pt idx="4">
                  <c:v>0.309</c:v>
                </c:pt>
                <c:pt idx="5">
                  <c:v>0.317</c:v>
                </c:pt>
                <c:pt idx="6">
                  <c:v>0.317</c:v>
                </c:pt>
                <c:pt idx="7">
                  <c:v>0.317</c:v>
                </c:pt>
                <c:pt idx="8">
                  <c:v>0.202</c:v>
                </c:pt>
              </c:numCache>
            </c:numRef>
          </c:xVal>
          <c:yVal>
            <c:numRef>
              <c:f>'Limitations W&amp;B'!$L$6:$L$14</c:f>
              <c:numCache>
                <c:ptCount val="9"/>
                <c:pt idx="0">
                  <c:v>500</c:v>
                </c:pt>
                <c:pt idx="1">
                  <c:v>750</c:v>
                </c:pt>
                <c:pt idx="2">
                  <c:v>750</c:v>
                </c:pt>
                <c:pt idx="3">
                  <c:v>800</c:v>
                </c:pt>
                <c:pt idx="4">
                  <c:v>800</c:v>
                </c:pt>
                <c:pt idx="5">
                  <c:v>750</c:v>
                </c:pt>
                <c:pt idx="6">
                  <c:v>750</c:v>
                </c:pt>
                <c:pt idx="7">
                  <c:v>500</c:v>
                </c:pt>
                <c:pt idx="8">
                  <c:v>500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MVE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2C5D98"/>
                    </a:gs>
                    <a:gs pos="80000">
                      <a:srgbClr val="3C7BC7"/>
                    </a:gs>
                    <a:gs pos="100000">
                      <a:srgbClr val="3A7CCB"/>
                    </a:gs>
                  </a:gsLst>
                  <a:lin ang="5400000" scaled="1"/>
                </a:gra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A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2C5D98"/>
                    </a:gs>
                    <a:gs pos="80000">
                      <a:srgbClr val="3C7BC7"/>
                    </a:gs>
                    <a:gs pos="100000">
                      <a:srgbClr val="3A7CCB"/>
                    </a:gs>
                  </a:gsLst>
                  <a:lin ang="5400000" scaled="1"/>
                </a:gra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'Limitations W&amp;B'!$K$19:$K$20</c:f>
              <c:numCache>
                <c:ptCount val="2"/>
                <c:pt idx="0">
                  <c:v>0.186</c:v>
                </c:pt>
                <c:pt idx="1">
                  <c:v>0.17626874115983027</c:v>
                </c:pt>
              </c:numCache>
            </c:numRef>
          </c:xVal>
          <c:yVal>
            <c:numRef>
              <c:f>'Limitations W&amp;B'!$L$19:$L$20</c:f>
              <c:numCache>
                <c:ptCount val="2"/>
                <c:pt idx="0">
                  <c:v>547</c:v>
                </c:pt>
                <c:pt idx="1">
                  <c:v>707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B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2C5D98"/>
                    </a:gs>
                    <a:gs pos="80000">
                      <a:srgbClr val="3C7BC7"/>
                    </a:gs>
                    <a:gs pos="100000">
                      <a:srgbClr val="3A7CCB"/>
                    </a:gs>
                  </a:gsLst>
                  <a:lin ang="5400000" scaled="1"/>
                </a:gra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'Limitations W&amp;B'!$K$20:$K$21</c:f>
              <c:numCache>
                <c:ptCount val="2"/>
                <c:pt idx="0">
                  <c:v>0.17626874115983027</c:v>
                </c:pt>
                <c:pt idx="1">
                  <c:v>0.23120499145653187</c:v>
                </c:pt>
              </c:numCache>
            </c:numRef>
          </c:xVal>
          <c:yVal>
            <c:numRef>
              <c:f>'Limitations W&amp;B'!$L$20:$L$21</c:f>
              <c:numCache>
                <c:ptCount val="2"/>
                <c:pt idx="0">
                  <c:v>707</c:v>
                </c:pt>
                <c:pt idx="1">
                  <c:v>772.52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CC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C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CB6C1D"/>
                    </a:gs>
                    <a:gs pos="80000">
                      <a:srgbClr val="FF8F2A"/>
                    </a:gs>
                    <a:gs pos="100000">
                      <a:srgbClr val="FF8F26"/>
                    </a:gs>
                  </a:gsLst>
                  <a:lin ang="5400000" scaled="1"/>
                </a:gra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'Calcul Centrage'!$H$28</c:f>
              <c:numCache/>
            </c:numRef>
          </c:xVal>
          <c:yVal>
            <c:numRef>
              <c:f>'Calcul Centrage'!$F$28</c:f>
              <c:numCache/>
            </c:numRef>
          </c:yVal>
          <c:smooth val="0"/>
        </c:ser>
        <c:axId val="66138290"/>
        <c:axId val="58373699"/>
      </c:scatterChart>
      <c:valAx>
        <c:axId val="66138290"/>
        <c:scaling>
          <c:orientation val="minMax"/>
          <c:max val="0.35000000000000003"/>
          <c:min val="0.15000000000000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Centrage longitudinal (m) 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73699"/>
        <c:crosses val="autoZero"/>
        <c:crossBetween val="midCat"/>
        <c:dispUnits/>
      </c:valAx>
      <c:valAx>
        <c:axId val="58373699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Masse (Kg)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382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0125"/>
          <c:w val="0.9065"/>
          <c:h val="0.91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'Limitations W&amp;B'!$K$6:$K$14</c:f>
              <c:numCache/>
            </c:numRef>
          </c:xVal>
          <c:yVal>
            <c:numRef>
              <c:f>'Limitations W&amp;B'!$L$6:$L$14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MVE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2C5D98"/>
                    </a:gs>
                    <a:gs pos="80000">
                      <a:srgbClr val="3C7BC7"/>
                    </a:gs>
                    <a:gs pos="100000">
                      <a:srgbClr val="3A7CCB"/>
                    </a:gs>
                  </a:gsLst>
                  <a:lin ang="5400000" scaled="1"/>
                </a:gra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A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2C5D98"/>
                    </a:gs>
                    <a:gs pos="80000">
                      <a:srgbClr val="3C7BC7"/>
                    </a:gs>
                    <a:gs pos="100000">
                      <a:srgbClr val="3A7CCB"/>
                    </a:gs>
                  </a:gsLst>
                  <a:lin ang="5400000" scaled="1"/>
                </a:gra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'Limitations W&amp;B'!$K$19:$K$20</c:f>
              <c:numCache/>
            </c:numRef>
          </c:xVal>
          <c:yVal>
            <c:numRef>
              <c:f>'Limitations W&amp;B'!$L$19:$L$20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B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2C5D98"/>
                    </a:gs>
                    <a:gs pos="80000">
                      <a:srgbClr val="3C7BC7"/>
                    </a:gs>
                    <a:gs pos="100000">
                      <a:srgbClr val="3A7CCB"/>
                    </a:gs>
                  </a:gsLst>
                  <a:lin ang="5400000" scaled="1"/>
                </a:gra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'Limitations W&amp;B'!$K$20:$K$21</c:f>
              <c:numCache/>
            </c:numRef>
          </c:xVal>
          <c:yVal>
            <c:numRef>
              <c:f>'Limitations W&amp;B'!$L$20:$L$21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CC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C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CB6C1D"/>
                    </a:gs>
                    <a:gs pos="80000">
                      <a:srgbClr val="FF8F2A"/>
                    </a:gs>
                    <a:gs pos="100000">
                      <a:srgbClr val="FF8F26"/>
                    </a:gs>
                  </a:gsLst>
                  <a:lin ang="5400000" scaled="1"/>
                </a:gra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'Calcul Centrage'!$F$48</c:f>
            </c:numRef>
          </c:xVal>
          <c:yVal>
            <c:numRef>
              <c:f>'Calcul Centrage'!$H$47</c:f>
            </c:numRef>
          </c:yVal>
          <c:smooth val="0"/>
        </c:ser>
        <c:axId val="55601244"/>
        <c:axId val="30649149"/>
      </c:scatterChart>
      <c:valAx>
        <c:axId val="55601244"/>
        <c:scaling>
          <c:orientation val="minMax"/>
          <c:min val="0.15000000000000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Centrage longitudinal (m) 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9149"/>
        <c:crosses val="autoZero"/>
        <c:crossBetween val="midCat"/>
        <c:dispUnits/>
      </c:valAx>
      <c:valAx>
        <c:axId val="30649149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Masse (Kg)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012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3</xdr:row>
      <xdr:rowOff>133350</xdr:rowOff>
    </xdr:from>
    <xdr:to>
      <xdr:col>15</xdr:col>
      <xdr:colOff>723900</xdr:colOff>
      <xdr:row>22</xdr:row>
      <xdr:rowOff>28575</xdr:rowOff>
    </xdr:to>
    <xdr:graphicFrame>
      <xdr:nvGraphicFramePr>
        <xdr:cNvPr id="1" name="Graphique 4"/>
        <xdr:cNvGraphicFramePr/>
      </xdr:nvGraphicFramePr>
      <xdr:xfrm>
        <a:off x="5210175" y="904875"/>
        <a:ext cx="44100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1</xdr:row>
      <xdr:rowOff>28575</xdr:rowOff>
    </xdr:from>
    <xdr:to>
      <xdr:col>13</xdr:col>
      <xdr:colOff>752475</xdr:colOff>
      <xdr:row>22</xdr:row>
      <xdr:rowOff>9525</xdr:rowOff>
    </xdr:to>
    <xdr:graphicFrame>
      <xdr:nvGraphicFramePr>
        <xdr:cNvPr id="1" name="Graphique 5"/>
        <xdr:cNvGraphicFramePr/>
      </xdr:nvGraphicFramePr>
      <xdr:xfrm>
        <a:off x="6391275" y="219075"/>
        <a:ext cx="47815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P57"/>
  <sheetViews>
    <sheetView showGridLines="0" showRowColHeaders="0" tabSelected="1" zoomScale="84" zoomScaleNormal="84" workbookViewId="0" topLeftCell="A1">
      <selection activeCell="D20" sqref="D20"/>
    </sheetView>
  </sheetViews>
  <sheetFormatPr defaultColWidth="11.421875" defaultRowHeight="15"/>
  <cols>
    <col min="1" max="1" width="3.140625" style="0" customWidth="1"/>
    <col min="2" max="2" width="27.140625" style="0" customWidth="1"/>
    <col min="3" max="3" width="4.7109375" style="0" customWidth="1"/>
    <col min="4" max="4" width="10.8515625" style="0" customWidth="1"/>
    <col min="5" max="5" width="1.28515625" style="3" customWidth="1"/>
    <col min="6" max="6" width="8.28125" style="0" customWidth="1"/>
    <col min="7" max="7" width="0.85546875" style="21" customWidth="1"/>
    <col min="8" max="8" width="10.140625" style="0" customWidth="1"/>
    <col min="9" max="9" width="0.85546875" style="21" customWidth="1"/>
    <col min="10" max="10" width="9.00390625" style="0" customWidth="1"/>
  </cols>
  <sheetData>
    <row r="1" ht="15.75" thickBot="1"/>
    <row r="2" spans="2:16" ht="24.75" thickBot="1" thickTop="1">
      <c r="B2" s="88" t="s">
        <v>50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</row>
    <row r="3" ht="20.25" customHeight="1" thickTop="1"/>
    <row r="4" ht="25.5" customHeight="1"/>
    <row r="5" spans="2:10" ht="15">
      <c r="B5" s="87" t="s">
        <v>57</v>
      </c>
      <c r="D5" s="69" t="s">
        <v>25</v>
      </c>
      <c r="F5" s="69" t="s">
        <v>48</v>
      </c>
      <c r="G5" s="18"/>
      <c r="H5" s="71" t="s">
        <v>22</v>
      </c>
      <c r="I5" s="29"/>
      <c r="J5" s="69" t="s">
        <v>27</v>
      </c>
    </row>
    <row r="6" spans="4:10" ht="15">
      <c r="D6" s="70" t="s">
        <v>26</v>
      </c>
      <c r="E6" s="16"/>
      <c r="F6" s="70" t="s">
        <v>20</v>
      </c>
      <c r="G6" s="18"/>
      <c r="H6" s="70" t="s">
        <v>21</v>
      </c>
      <c r="I6" s="18"/>
      <c r="J6" s="70" t="s">
        <v>28</v>
      </c>
    </row>
    <row r="7" spans="4:10" ht="15.75" thickBot="1">
      <c r="D7" s="2"/>
      <c r="F7" s="2"/>
      <c r="H7" s="2"/>
      <c r="J7" s="2"/>
    </row>
    <row r="8" spans="2:10" ht="16.5" thickBot="1" thickTop="1">
      <c r="B8" s="74" t="s">
        <v>19</v>
      </c>
      <c r="C8" s="31" t="s">
        <v>31</v>
      </c>
      <c r="D8" s="64"/>
      <c r="E8" s="16"/>
      <c r="F8" s="75">
        <v>547</v>
      </c>
      <c r="G8" s="73"/>
      <c r="H8" s="75">
        <v>0.186</v>
      </c>
      <c r="I8" s="18"/>
      <c r="J8" s="6">
        <f>F8*H8</f>
        <v>101.742</v>
      </c>
    </row>
    <row r="9" spans="4:10" ht="15.75" thickTop="1">
      <c r="D9" s="15"/>
      <c r="E9" s="16"/>
      <c r="F9" s="15"/>
      <c r="G9" s="18"/>
      <c r="H9" s="15"/>
      <c r="I9" s="18"/>
      <c r="J9" s="15"/>
    </row>
    <row r="10" spans="2:10" ht="15">
      <c r="B10" s="55" t="s">
        <v>23</v>
      </c>
      <c r="C10" s="57"/>
      <c r="D10" s="65"/>
      <c r="E10" s="16"/>
      <c r="F10" s="72">
        <v>160</v>
      </c>
      <c r="G10" s="18"/>
      <c r="H10" s="6">
        <v>0.143</v>
      </c>
      <c r="I10" s="18"/>
      <c r="J10" s="6">
        <f>F10*H10</f>
        <v>22.88</v>
      </c>
    </row>
    <row r="11" spans="2:10" ht="15">
      <c r="B11" s="55" t="s">
        <v>24</v>
      </c>
      <c r="C11" s="57"/>
      <c r="D11" s="65"/>
      <c r="E11" s="16"/>
      <c r="F11" s="67"/>
      <c r="G11" s="18"/>
      <c r="H11" s="6"/>
      <c r="I11" s="18"/>
      <c r="J11" s="6">
        <f>F11*H11</f>
        <v>0</v>
      </c>
    </row>
    <row r="12" spans="4:10" ht="15">
      <c r="D12" s="15"/>
      <c r="E12" s="16"/>
      <c r="F12" s="15"/>
      <c r="G12" s="18"/>
      <c r="H12" s="15"/>
      <c r="I12" s="18"/>
      <c r="J12" s="15"/>
    </row>
    <row r="13" spans="2:10" ht="15">
      <c r="B13" s="55" t="s">
        <v>55</v>
      </c>
      <c r="C13" s="57"/>
      <c r="D13" s="65"/>
      <c r="E13" s="16"/>
      <c r="F13" s="72">
        <v>0</v>
      </c>
      <c r="G13" s="18"/>
      <c r="H13" s="6">
        <v>0.824</v>
      </c>
      <c r="I13" s="18"/>
      <c r="J13" s="6">
        <f>F13*H13</f>
        <v>0</v>
      </c>
    </row>
    <row r="14" spans="4:10" ht="15">
      <c r="D14" s="15"/>
      <c r="E14" s="16"/>
      <c r="F14" s="67"/>
      <c r="G14" s="18"/>
      <c r="H14" s="6">
        <v>0</v>
      </c>
      <c r="I14" s="18"/>
      <c r="J14" s="6">
        <f>F14*H14</f>
        <v>0</v>
      </c>
    </row>
    <row r="15" spans="4:10" ht="15">
      <c r="D15" s="15"/>
      <c r="E15" s="16"/>
      <c r="F15" s="67"/>
      <c r="G15" s="18"/>
      <c r="H15" s="6">
        <v>0</v>
      </c>
      <c r="I15" s="18"/>
      <c r="J15" s="6">
        <f>F15*H15</f>
        <v>0</v>
      </c>
    </row>
    <row r="16" spans="4:10" ht="15.75" thickBot="1">
      <c r="D16" s="15"/>
      <c r="E16" s="16"/>
      <c r="F16" s="15"/>
      <c r="G16" s="18"/>
      <c r="H16" s="15"/>
      <c r="I16" s="18"/>
      <c r="J16" s="15"/>
    </row>
    <row r="17" spans="2:10" ht="17.25" thickBot="1" thickTop="1">
      <c r="B17" s="66" t="s">
        <v>30</v>
      </c>
      <c r="C17" s="32" t="s">
        <v>8</v>
      </c>
      <c r="D17" s="64"/>
      <c r="E17" s="16"/>
      <c r="F17" s="76">
        <f>SUM(F8:F15)</f>
        <v>707</v>
      </c>
      <c r="G17" s="18"/>
      <c r="H17" s="77">
        <f>J17/F17</f>
        <v>0.17626874115983027</v>
      </c>
      <c r="I17" s="30"/>
      <c r="J17" s="6">
        <f>SUM(J8:J15)</f>
        <v>124.622</v>
      </c>
    </row>
    <row r="18" spans="4:10" ht="15.75" thickTop="1">
      <c r="D18" s="15"/>
      <c r="E18" s="16"/>
      <c r="F18" s="15"/>
      <c r="G18" s="18"/>
      <c r="H18" s="15"/>
      <c r="I18" s="18"/>
      <c r="J18" s="15"/>
    </row>
    <row r="19" spans="4:10" ht="15">
      <c r="D19" s="15"/>
      <c r="E19" s="16"/>
      <c r="F19" s="20" t="s">
        <v>54</v>
      </c>
      <c r="G19" s="22"/>
      <c r="H19" s="15"/>
      <c r="I19" s="18"/>
      <c r="J19" s="15"/>
    </row>
    <row r="20" spans="2:10" ht="15">
      <c r="B20" s="55" t="s">
        <v>52</v>
      </c>
      <c r="C20" s="57"/>
      <c r="D20" s="72">
        <v>91</v>
      </c>
      <c r="E20" s="18"/>
      <c r="F20" s="6">
        <f>D20*0.72</f>
        <v>65.52</v>
      </c>
      <c r="G20" s="18"/>
      <c r="H20" s="6">
        <v>0.824</v>
      </c>
      <c r="I20" s="18"/>
      <c r="J20" s="6">
        <f>F20*H20</f>
        <v>53.988479999999996</v>
      </c>
    </row>
    <row r="21" spans="2:10" ht="15">
      <c r="B21" s="68" t="s">
        <v>53</v>
      </c>
      <c r="D21" s="15"/>
      <c r="E21" s="16"/>
      <c r="F21" s="15"/>
      <c r="G21" s="18"/>
      <c r="H21" s="15"/>
      <c r="I21" s="18"/>
      <c r="J21" s="15"/>
    </row>
    <row r="22" spans="4:10" ht="15.75" thickBot="1">
      <c r="D22" s="15"/>
      <c r="E22" s="16"/>
      <c r="F22" s="15"/>
      <c r="G22" s="18"/>
      <c r="H22" s="15"/>
      <c r="I22" s="18"/>
      <c r="J22" s="15"/>
    </row>
    <row r="23" spans="2:10" ht="20.25" thickBot="1" thickTop="1">
      <c r="B23" s="58" t="s">
        <v>29</v>
      </c>
      <c r="C23" s="32" t="s">
        <v>9</v>
      </c>
      <c r="D23" s="14"/>
      <c r="E23" s="16"/>
      <c r="F23" s="63">
        <f>F17+F20</f>
        <v>772.52</v>
      </c>
      <c r="G23" s="60"/>
      <c r="H23" s="61">
        <f>J23/F23</f>
        <v>0.23120499145653187</v>
      </c>
      <c r="I23" s="62"/>
      <c r="J23" s="59">
        <f>J17+J20</f>
        <v>178.61048</v>
      </c>
    </row>
    <row r="24" spans="4:10" ht="15.75" thickTop="1">
      <c r="D24" s="16"/>
      <c r="E24" s="16"/>
      <c r="F24" s="56"/>
      <c r="G24" s="18"/>
      <c r="H24" s="36"/>
      <c r="I24" s="18"/>
      <c r="J24" s="4"/>
    </row>
    <row r="25" spans="2:8" ht="15.75">
      <c r="B25" s="80" t="s">
        <v>56</v>
      </c>
      <c r="D25" s="3"/>
      <c r="F25" s="35"/>
      <c r="H25" s="37"/>
    </row>
    <row r="26" spans="4:8" ht="15.75" thickBot="1">
      <c r="D26" s="3"/>
      <c r="F26" s="35"/>
      <c r="H26" s="37"/>
    </row>
    <row r="27" spans="2:9" ht="4.5" customHeight="1" thickBot="1" thickTop="1">
      <c r="B27" s="39"/>
      <c r="C27" s="40"/>
      <c r="D27" s="40"/>
      <c r="E27" s="40"/>
      <c r="F27" s="41"/>
      <c r="G27" s="42"/>
      <c r="H27" s="43"/>
      <c r="I27" s="44"/>
    </row>
    <row r="28" spans="2:10" ht="17.25" thickBot="1" thickTop="1">
      <c r="B28" s="54" t="s">
        <v>38</v>
      </c>
      <c r="C28" s="86" t="s">
        <v>10</v>
      </c>
      <c r="D28" s="3"/>
      <c r="F28" s="78">
        <f>H48</f>
        <v>737.6885175107983</v>
      </c>
      <c r="G28" s="23"/>
      <c r="H28" s="79">
        <f>IF(F28="NC",F28,F48)</f>
        <v>0.202</v>
      </c>
      <c r="I28" s="46"/>
      <c r="J28" s="3"/>
    </row>
    <row r="29" spans="2:9" ht="15.75" thickTop="1">
      <c r="B29" s="54" t="s">
        <v>46</v>
      </c>
      <c r="C29" s="3"/>
      <c r="D29" s="3"/>
      <c r="F29" s="3"/>
      <c r="H29" s="3"/>
      <c r="I29" s="46"/>
    </row>
    <row r="30" spans="2:9" ht="4.5" customHeight="1">
      <c r="B30" s="45"/>
      <c r="C30" s="3"/>
      <c r="D30" s="3"/>
      <c r="F30" s="3"/>
      <c r="H30" s="3"/>
      <c r="I30" s="46"/>
    </row>
    <row r="31" spans="2:9" ht="6.75" customHeight="1">
      <c r="B31" s="45"/>
      <c r="C31" s="3"/>
      <c r="D31" s="3"/>
      <c r="F31" s="3"/>
      <c r="H31" s="3"/>
      <c r="I31" s="46"/>
    </row>
    <row r="32" spans="2:9" ht="15">
      <c r="B32" s="47" t="s">
        <v>45</v>
      </c>
      <c r="C32" s="3"/>
      <c r="D32" s="12">
        <f>F50</f>
        <v>48.37705901278011</v>
      </c>
      <c r="E32" s="38" t="s">
        <v>41</v>
      </c>
      <c r="F32" s="13">
        <f>F49</f>
        <v>34.831482489201676</v>
      </c>
      <c r="G32" s="33" t="s">
        <v>49</v>
      </c>
      <c r="H32" s="48"/>
      <c r="I32" s="46"/>
    </row>
    <row r="33" spans="2:9" ht="5.25" customHeight="1">
      <c r="B33" s="47"/>
      <c r="C33" s="3"/>
      <c r="D33" s="17"/>
      <c r="E33" s="17"/>
      <c r="F33" s="19"/>
      <c r="G33" s="33"/>
      <c r="H33" s="3"/>
      <c r="I33" s="46"/>
    </row>
    <row r="34" spans="2:9" ht="15">
      <c r="B34" s="47" t="s">
        <v>47</v>
      </c>
      <c r="C34" s="3"/>
      <c r="D34" s="3"/>
      <c r="F34" s="34">
        <f>F51</f>
        <v>0.08763959966083353</v>
      </c>
      <c r="G34" s="24"/>
      <c r="H34" s="49" t="s">
        <v>51</v>
      </c>
      <c r="I34" s="46"/>
    </row>
    <row r="35" spans="2:9" ht="4.5" customHeight="1" thickBot="1">
      <c r="B35" s="50"/>
      <c r="C35" s="51"/>
      <c r="D35" s="51"/>
      <c r="E35" s="51"/>
      <c r="F35" s="51"/>
      <c r="G35" s="52"/>
      <c r="H35" s="51"/>
      <c r="I35" s="53"/>
    </row>
    <row r="36" ht="15.75" thickTop="1">
      <c r="B36" s="11"/>
    </row>
    <row r="37" ht="15" hidden="1">
      <c r="B37" s="11"/>
    </row>
    <row r="38" spans="6:9" ht="15" hidden="1">
      <c r="F38" s="5">
        <f>H17</f>
        <v>0.17626874115983027</v>
      </c>
      <c r="G38" s="25"/>
      <c r="H38" s="5">
        <f>F17</f>
        <v>707</v>
      </c>
      <c r="I38" s="25"/>
    </row>
    <row r="39" spans="6:9" ht="15" hidden="1">
      <c r="F39" s="5">
        <f>H23</f>
        <v>0.23120499145653187</v>
      </c>
      <c r="G39" s="25"/>
      <c r="H39" s="5">
        <f>F23</f>
        <v>772.52</v>
      </c>
      <c r="I39" s="25"/>
    </row>
    <row r="40" ht="15" hidden="1"/>
    <row r="41" spans="4:6" ht="15" hidden="1">
      <c r="D41" t="s">
        <v>34</v>
      </c>
      <c r="F41">
        <f>((F38*H39)-(F39*H38))/(F38-F39)</f>
        <v>496.7721839692885</v>
      </c>
    </row>
    <row r="42" spans="4:6" ht="15" hidden="1">
      <c r="D42" t="s">
        <v>35</v>
      </c>
      <c r="F42">
        <f>(H38-F41)/F38</f>
        <v>1192.6551165421276</v>
      </c>
    </row>
    <row r="43" ht="15" hidden="1"/>
    <row r="44" spans="4:8" ht="15" hidden="1">
      <c r="D44" t="s">
        <v>36</v>
      </c>
      <c r="F44">
        <f>0.202</f>
        <v>0.202</v>
      </c>
      <c r="H44">
        <v>0.205</v>
      </c>
    </row>
    <row r="45" spans="4:9" ht="15" hidden="1">
      <c r="D45" t="s">
        <v>37</v>
      </c>
      <c r="F45" s="7">
        <f>(F44*F42)+F41</f>
        <v>737.6885175107983</v>
      </c>
      <c r="G45" s="26"/>
      <c r="H45" s="7">
        <f>F42*H44+F41</f>
        <v>741.2664828604246</v>
      </c>
      <c r="I45" s="26"/>
    </row>
    <row r="46" spans="6:9" ht="15" hidden="1">
      <c r="F46" s="7"/>
      <c r="G46" s="26"/>
      <c r="H46" s="7"/>
      <c r="I46" s="26"/>
    </row>
    <row r="47" spans="2:9" ht="15" hidden="1">
      <c r="B47" t="s">
        <v>38</v>
      </c>
      <c r="G47" s="25"/>
      <c r="H47" s="7">
        <f>IF(H45&gt;750,H45,F45)</f>
        <v>737.6885175107983</v>
      </c>
      <c r="I47" s="26"/>
    </row>
    <row r="48" spans="6:8" ht="15" hidden="1">
      <c r="F48" s="5">
        <f>IF(H47=H45,H44,F44)</f>
        <v>0.202</v>
      </c>
      <c r="H48" s="10">
        <f>IF(H47&gt;F17,H47,"NC")</f>
        <v>737.6885175107983</v>
      </c>
    </row>
    <row r="49" spans="2:7" ht="15" hidden="1">
      <c r="B49" t="s">
        <v>39</v>
      </c>
      <c r="D49" t="s">
        <v>40</v>
      </c>
      <c r="F49" s="7">
        <f>F23-H47</f>
        <v>34.831482489201676</v>
      </c>
      <c r="G49" s="26"/>
    </row>
    <row r="50" spans="4:7" ht="15" hidden="1">
      <c r="D50" t="s">
        <v>41</v>
      </c>
      <c r="F50" s="8">
        <f>F49/0.72</f>
        <v>48.37705901278011</v>
      </c>
      <c r="G50" s="27"/>
    </row>
    <row r="51" spans="2:7" ht="15" hidden="1">
      <c r="B51" t="s">
        <v>42</v>
      </c>
      <c r="F51" s="9">
        <f>(F50/23)/24</f>
        <v>0.08763959966083353</v>
      </c>
      <c r="G51" s="28"/>
    </row>
    <row r="52" ht="15" hidden="1"/>
    <row r="56" ht="15">
      <c r="F56" t="s">
        <v>44</v>
      </c>
    </row>
    <row r="57" ht="15">
      <c r="K57" t="s">
        <v>43</v>
      </c>
    </row>
  </sheetData>
  <sheetProtection password="FE3F" sheet="1" selectLockedCells="1"/>
  <mergeCells count="1">
    <mergeCell ref="B2:P2"/>
  </mergeCells>
  <conditionalFormatting sqref="F23">
    <cfRule type="cellIs" priority="1" dxfId="1" operator="greaterThan" stopIfTrue="1">
      <formula>800</formula>
    </cfRule>
  </conditionalFormatting>
  <printOptions/>
  <pageMargins left="0.25" right="0.25" top="0.75" bottom="0.75" header="0.3" footer="0.3"/>
  <pageSetup horizontalDpi="600" verticalDpi="600" orientation="landscape" paperSize="9" scale="88" r:id="rId2"/>
  <ignoredErrors>
    <ignoredError sqref="H23 H1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3:L21"/>
  <sheetViews>
    <sheetView showGridLines="0" showRowColHeaders="0" zoomScale="80" zoomScaleNormal="80" zoomScalePageLayoutView="0" workbookViewId="0" topLeftCell="A1">
      <selection activeCell="H28" sqref="H28"/>
    </sheetView>
  </sheetViews>
  <sheetFormatPr defaultColWidth="11.421875" defaultRowHeight="15"/>
  <cols>
    <col min="4" max="4" width="17.421875" style="0" customWidth="1"/>
    <col min="6" max="6" width="13.140625" style="0" customWidth="1"/>
  </cols>
  <sheetData>
    <row r="3" ht="15">
      <c r="A3" s="1" t="s">
        <v>0</v>
      </c>
    </row>
    <row r="5" spans="2:12" ht="15">
      <c r="B5" t="s">
        <v>1</v>
      </c>
      <c r="E5" s="81"/>
      <c r="F5" s="81"/>
      <c r="G5" s="81"/>
      <c r="K5" s="4" t="s">
        <v>16</v>
      </c>
      <c r="L5" s="4" t="s">
        <v>17</v>
      </c>
    </row>
    <row r="6" spans="3:12" ht="15">
      <c r="C6" t="s">
        <v>2</v>
      </c>
      <c r="E6" s="82">
        <v>800</v>
      </c>
      <c r="F6" s="81" t="s">
        <v>3</v>
      </c>
      <c r="G6" s="83">
        <v>0.205</v>
      </c>
      <c r="J6" t="s">
        <v>8</v>
      </c>
      <c r="K6" s="5">
        <f>IF(G8=0,IF(G7=0,G6,G7),G8)</f>
        <v>0.202</v>
      </c>
      <c r="L6" s="5">
        <f>G17</f>
        <v>500</v>
      </c>
    </row>
    <row r="7" spans="3:12" ht="15">
      <c r="C7" t="s">
        <v>5</v>
      </c>
      <c r="E7" s="82">
        <v>750</v>
      </c>
      <c r="F7" s="81" t="s">
        <v>3</v>
      </c>
      <c r="G7" s="83">
        <v>0.202</v>
      </c>
      <c r="J7" t="s">
        <v>9</v>
      </c>
      <c r="K7" s="5">
        <f>IF(G8=0,IF(G7=0,G6,G7),G8)</f>
        <v>0.202</v>
      </c>
      <c r="L7">
        <f>IF(E8=0,IF(E7=0,E6,E7),E8)</f>
        <v>750</v>
      </c>
    </row>
    <row r="8" spans="3:12" ht="15">
      <c r="C8" t="s">
        <v>6</v>
      </c>
      <c r="E8" s="82">
        <v>0</v>
      </c>
      <c r="F8" s="81" t="s">
        <v>3</v>
      </c>
      <c r="G8" s="83">
        <v>0</v>
      </c>
      <c r="J8" t="s">
        <v>10</v>
      </c>
      <c r="K8" s="5">
        <f>IF(G7=0,G6,G7)</f>
        <v>0.202</v>
      </c>
      <c r="L8">
        <f>IF(E7=0,E6,E7)</f>
        <v>750</v>
      </c>
    </row>
    <row r="9" spans="5:12" ht="15">
      <c r="E9" s="84"/>
      <c r="F9" s="81"/>
      <c r="G9" s="85"/>
      <c r="J9" t="s">
        <v>11</v>
      </c>
      <c r="K9" s="5">
        <f>G6</f>
        <v>0.205</v>
      </c>
      <c r="L9">
        <f>E6</f>
        <v>800</v>
      </c>
    </row>
    <row r="10" spans="2:12" ht="15">
      <c r="B10" t="s">
        <v>4</v>
      </c>
      <c r="E10" s="84"/>
      <c r="F10" s="81"/>
      <c r="G10" s="85"/>
      <c r="J10" t="s">
        <v>12</v>
      </c>
      <c r="K10" s="5">
        <f>G11</f>
        <v>0.309</v>
      </c>
      <c r="L10">
        <f>E11</f>
        <v>800</v>
      </c>
    </row>
    <row r="11" spans="3:12" ht="15">
      <c r="C11" t="s">
        <v>2</v>
      </c>
      <c r="E11" s="82">
        <v>800</v>
      </c>
      <c r="F11" s="81" t="s">
        <v>3</v>
      </c>
      <c r="G11" s="83">
        <v>0.309</v>
      </c>
      <c r="J11" t="s">
        <v>13</v>
      </c>
      <c r="K11" s="5">
        <f>IF(G12=0,G11,G12)</f>
        <v>0.317</v>
      </c>
      <c r="L11">
        <f>IF(E12=0,E11,E12)</f>
        <v>750</v>
      </c>
    </row>
    <row r="12" spans="3:12" ht="15">
      <c r="C12" t="s">
        <v>5</v>
      </c>
      <c r="E12" s="82">
        <v>750</v>
      </c>
      <c r="F12" s="81" t="s">
        <v>3</v>
      </c>
      <c r="G12" s="83">
        <v>0.317</v>
      </c>
      <c r="J12" t="s">
        <v>14</v>
      </c>
      <c r="K12" s="5">
        <f>IF(G13=0,IF(G12=0,G11,G12),G13)</f>
        <v>0.317</v>
      </c>
      <c r="L12">
        <f>IF(E13=0,IF(E12=0,E11,E12),E13)</f>
        <v>750</v>
      </c>
    </row>
    <row r="13" spans="3:12" ht="15">
      <c r="C13" t="s">
        <v>6</v>
      </c>
      <c r="E13" s="82">
        <v>0</v>
      </c>
      <c r="F13" s="81" t="s">
        <v>3</v>
      </c>
      <c r="G13" s="83">
        <v>0</v>
      </c>
      <c r="J13" t="s">
        <v>15</v>
      </c>
      <c r="K13" s="5">
        <f>IF(G13=0,IF(G12=0,G11,G12),G13)</f>
        <v>0.317</v>
      </c>
      <c r="L13">
        <f>G17</f>
        <v>500</v>
      </c>
    </row>
    <row r="14" spans="5:12" ht="15">
      <c r="E14" s="81"/>
      <c r="F14" s="81"/>
      <c r="G14" s="81"/>
      <c r="J14" t="s">
        <v>18</v>
      </c>
      <c r="K14" s="5">
        <f>K6</f>
        <v>0.202</v>
      </c>
      <c r="L14">
        <f>L13</f>
        <v>500</v>
      </c>
    </row>
    <row r="15" spans="5:7" ht="15">
      <c r="E15" s="81"/>
      <c r="F15" s="81"/>
      <c r="G15" s="81"/>
    </row>
    <row r="16" spans="5:7" ht="15">
      <c r="E16" s="81"/>
      <c r="F16" s="81"/>
      <c r="G16" s="81"/>
    </row>
    <row r="17" spans="2:7" ht="15">
      <c r="B17" t="s">
        <v>7</v>
      </c>
      <c r="E17" s="81"/>
      <c r="F17" s="81"/>
      <c r="G17" s="82">
        <v>500</v>
      </c>
    </row>
    <row r="18" spans="5:7" ht="15">
      <c r="E18" s="81"/>
      <c r="F18" s="81"/>
      <c r="G18" s="81"/>
    </row>
    <row r="19" spans="10:12" ht="15">
      <c r="J19" t="s">
        <v>31</v>
      </c>
      <c r="K19" s="5">
        <f>'Calcul Centrage'!H8</f>
        <v>0.186</v>
      </c>
      <c r="L19">
        <f>'Calcul Centrage'!F8</f>
        <v>547</v>
      </c>
    </row>
    <row r="20" spans="9:12" ht="15">
      <c r="I20" t="s">
        <v>32</v>
      </c>
      <c r="K20" s="5">
        <f>'Calcul Centrage'!H17</f>
        <v>0.17626874115983027</v>
      </c>
      <c r="L20">
        <f>'Calcul Centrage'!F17</f>
        <v>707</v>
      </c>
    </row>
    <row r="21" spans="9:12" ht="15">
      <c r="I21" t="s">
        <v>33</v>
      </c>
      <c r="K21" s="5">
        <f>'Calcul Centrage'!H23</f>
        <v>0.23120499145653187</v>
      </c>
      <c r="L21">
        <f>'Calcul Centrage'!F23</f>
        <v>772.52</v>
      </c>
    </row>
  </sheetData>
  <sheetProtection password="D5B1" sheet="1" objects="1" scenarios="1" select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EUROCOPTER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Skorlic, Christophe</dc:creator>
  <cp:keywords/>
  <dc:description/>
  <cp:lastModifiedBy>SKORLIC, Christophe</cp:lastModifiedBy>
  <cp:lastPrinted>2014-06-04T12:37:01Z</cp:lastPrinted>
  <dcterms:created xsi:type="dcterms:W3CDTF">2014-06-04T07:25:26Z</dcterms:created>
  <dcterms:modified xsi:type="dcterms:W3CDTF">2022-09-27T15:59:27Z</dcterms:modified>
  <cp:category/>
  <cp:version/>
  <cp:contentType/>
  <cp:contentStatus/>
</cp:coreProperties>
</file>